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</sheets>
  <definedNames>
    <definedName name="_xlnm.Print_Area" localSheetId="0">Лист1!$A$1:$J$43</definedName>
  </definedNames>
  <calcPr calcId="125725"/>
</workbook>
</file>

<file path=xl/calcChain.xml><?xml version="1.0" encoding="utf-8"?>
<calcChain xmlns="http://schemas.openxmlformats.org/spreadsheetml/2006/main">
  <c r="P27" i="1"/>
  <c r="P33"/>
  <c r="D32"/>
  <c r="D31"/>
  <c r="P31" s="1"/>
  <c r="D23"/>
  <c r="P30"/>
  <c r="P25"/>
  <c r="P26"/>
  <c r="P24"/>
  <c r="P9"/>
  <c r="P10"/>
  <c r="P11"/>
  <c r="P12"/>
  <c r="P13"/>
  <c r="P14"/>
  <c r="P15"/>
  <c r="P16"/>
  <c r="P17"/>
  <c r="P18"/>
  <c r="P19"/>
  <c r="P20"/>
  <c r="P21"/>
  <c r="P22"/>
  <c r="P8"/>
  <c r="P32"/>
  <c r="P23"/>
  <c r="E5"/>
  <c r="K37" l="1"/>
  <c r="L37"/>
  <c r="M37"/>
  <c r="N37"/>
  <c r="K34"/>
  <c r="L34"/>
  <c r="M34"/>
  <c r="N34"/>
  <c r="K33"/>
  <c r="L33"/>
  <c r="M33"/>
  <c r="N33"/>
  <c r="O30"/>
  <c r="K27"/>
  <c r="L27"/>
  <c r="M27"/>
  <c r="N27"/>
  <c r="O9"/>
  <c r="O10"/>
  <c r="O11"/>
  <c r="O12"/>
  <c r="O13"/>
  <c r="O14"/>
  <c r="O15"/>
  <c r="O16"/>
  <c r="O17"/>
  <c r="O18"/>
  <c r="O19"/>
  <c r="O20"/>
  <c r="O21"/>
  <c r="O22"/>
  <c r="O24"/>
  <c r="O25"/>
  <c r="O26"/>
  <c r="O8"/>
  <c r="D29" i="2"/>
  <c r="C29"/>
  <c r="C30" s="1"/>
  <c r="A5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H20" i="1"/>
  <c r="I20" s="1"/>
  <c r="J20" s="1"/>
  <c r="H21"/>
  <c r="I21"/>
  <c r="J21" s="1"/>
  <c r="H22"/>
  <c r="I22" s="1"/>
  <c r="J22" s="1"/>
  <c r="L22"/>
  <c r="M22"/>
  <c r="L21"/>
  <c r="M21"/>
  <c r="H36"/>
  <c r="I36"/>
  <c r="J36" s="1"/>
  <c r="I30"/>
  <c r="A9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H32"/>
  <c r="I32" s="1"/>
  <c r="J32" s="1"/>
  <c r="O32" s="1"/>
  <c r="A32"/>
  <c r="H31"/>
  <c r="I31" s="1"/>
  <c r="J30"/>
  <c r="H23"/>
  <c r="I23" s="1"/>
  <c r="J23" s="1"/>
  <c r="O23" s="1"/>
  <c r="H24"/>
  <c r="I24" s="1"/>
  <c r="J24" s="1"/>
  <c r="H25"/>
  <c r="I25"/>
  <c r="J25" s="1"/>
  <c r="H26"/>
  <c r="I26" s="1"/>
  <c r="J26" s="1"/>
  <c r="H8"/>
  <c r="I8"/>
  <c r="H9"/>
  <c r="I9"/>
  <c r="J9" s="1"/>
  <c r="H10"/>
  <c r="I10" s="1"/>
  <c r="J10" s="1"/>
  <c r="H11"/>
  <c r="I11"/>
  <c r="J11" s="1"/>
  <c r="H12"/>
  <c r="I12" s="1"/>
  <c r="J12" s="1"/>
  <c r="H13"/>
  <c r="I13"/>
  <c r="J13" s="1"/>
  <c r="H14"/>
  <c r="I14" s="1"/>
  <c r="J14" s="1"/>
  <c r="H15"/>
  <c r="I15"/>
  <c r="J15" s="1"/>
  <c r="H16"/>
  <c r="I16" s="1"/>
  <c r="J16" s="1"/>
  <c r="H17"/>
  <c r="I17"/>
  <c r="J17" s="1"/>
  <c r="H18"/>
  <c r="I18" s="1"/>
  <c r="J18" s="1"/>
  <c r="H19"/>
  <c r="I19"/>
  <c r="J19" s="1"/>
  <c r="H33"/>
  <c r="J8"/>
  <c r="O27" l="1"/>
  <c r="I27"/>
  <c r="J31"/>
  <c r="I33"/>
  <c r="J27"/>
  <c r="H27"/>
  <c r="J33" l="1"/>
  <c r="O31"/>
  <c r="J34"/>
  <c r="J37" s="1"/>
  <c r="G27"/>
  <c r="I34"/>
  <c r="G34" s="1"/>
  <c r="G37" s="1"/>
  <c r="P34" l="1"/>
  <c r="P37" s="1"/>
  <c r="O33"/>
  <c r="O34" s="1"/>
  <c r="O37" s="1"/>
</calcChain>
</file>

<file path=xl/sharedStrings.xml><?xml version="1.0" encoding="utf-8"?>
<sst xmlns="http://schemas.openxmlformats.org/spreadsheetml/2006/main" count="139" uniqueCount="86">
  <si>
    <t xml:space="preserve"> Площадь МКД</t>
  </si>
  <si>
    <t>Содержание общего имущества и управление МКД</t>
  </si>
  <si>
    <t>№</t>
  </si>
  <si>
    <t>Наименование работы</t>
  </si>
  <si>
    <t>ед.изм.</t>
  </si>
  <si>
    <t>цена (руб.)</t>
  </si>
  <si>
    <t>объем</t>
  </si>
  <si>
    <t>Итого стоимость в руб. в год</t>
  </si>
  <si>
    <t>Итого стоимость в месяц, руб.</t>
  </si>
  <si>
    <t>Гидравлические испытания системы отопления</t>
  </si>
  <si>
    <t>1 метр трубопровода</t>
  </si>
  <si>
    <t>Промывка системы отопления</t>
  </si>
  <si>
    <t>Техническое обслуживание инженерных сетей входящих в состав общего имущества многоквартирных жилых домов</t>
  </si>
  <si>
    <t>1 кв.м.общ.пл.</t>
  </si>
  <si>
    <t>Согласно правилам и нормам обслуживания жилого фонда</t>
  </si>
  <si>
    <t>1 кв.м кровли( ст-ть пересчитана на 1 кв.м. об.пл.)</t>
  </si>
  <si>
    <t>Техническое обслуживание мягкой кровли</t>
  </si>
  <si>
    <t>Техническое обслуживание ГЩВУ (ВРУ)</t>
  </si>
  <si>
    <t>1 ВРУ  ( ст-ть пересчитана на 1 кв.м. об.пл.)</t>
  </si>
  <si>
    <t>Техническое обслуживание системы освещения общего имущества</t>
  </si>
  <si>
    <t>1 кв.м площади вспомогательных помещений ( ст-ть пересчитана на 1 кв.м. об.пл.)</t>
  </si>
  <si>
    <t>1 раз в год</t>
  </si>
  <si>
    <t xml:space="preserve">Техническое обслуживание электрических сетей и их оборудования на лестничных клетках </t>
  </si>
  <si>
    <t>1 кв.м лестничных клеток ( ст-ть пересчитана на 1 кв.м. об.пл.)</t>
  </si>
  <si>
    <t>ежемесячно</t>
  </si>
  <si>
    <t>1 кв.м.общей площади</t>
  </si>
  <si>
    <t>дежурство слесарей, электриков</t>
  </si>
  <si>
    <t>Дератизация, дезинсекция</t>
  </si>
  <si>
    <t>4 раза в год</t>
  </si>
  <si>
    <t>Проверка дымоходов и вентканалов</t>
  </si>
  <si>
    <t xml:space="preserve">1 кв.м.общ.пл. </t>
  </si>
  <si>
    <t>1 кв.м лестничных клеток</t>
  </si>
  <si>
    <t>1 кв.м асфальта</t>
  </si>
  <si>
    <t>1 раз в  2 суток</t>
  </si>
  <si>
    <t>Содержание, техническое обслуживание и ремонт лифтов</t>
  </si>
  <si>
    <t>1 лифт</t>
  </si>
  <si>
    <t>Услуга по управлению</t>
  </si>
  <si>
    <t>Услуги паспортной службы</t>
  </si>
  <si>
    <t>1 кв.м.общ.жил.пл.</t>
  </si>
  <si>
    <t>Услуги по начислению и сбору платежей, работе с неплательщиками</t>
  </si>
  <si>
    <t>Текущий ремонт</t>
  </si>
  <si>
    <t>по графику</t>
  </si>
  <si>
    <t>Всего:</t>
  </si>
  <si>
    <t xml:space="preserve">Примечание: </t>
  </si>
  <si>
    <t>Осмотр наружных конструкций кирпичного или каменного дома</t>
  </si>
  <si>
    <t>Стоимость на 1 кв.м. общ. пл.</t>
  </si>
  <si>
    <t>Площадь ОИ</t>
  </si>
  <si>
    <t>г. Рязань ул. Новаторов д. 27</t>
  </si>
  <si>
    <t>Осмотр технических этажей, чердаков и подвальных помещений</t>
  </si>
  <si>
    <t xml:space="preserve">Аварийное обслуживание, непредвиденные работы </t>
  </si>
  <si>
    <t xml:space="preserve">Осмотр мест общего пользования </t>
  </si>
  <si>
    <t>Периодичность работ и услуг</t>
  </si>
  <si>
    <t>постоянно</t>
  </si>
  <si>
    <t>Замер сопротивления изоляции</t>
  </si>
  <si>
    <t>Итого:</t>
  </si>
  <si>
    <t>Уборка лестничных площадок и маршей</t>
  </si>
  <si>
    <t xml:space="preserve">Подметание прилегающей территории </t>
  </si>
  <si>
    <t>КРСОИ</t>
  </si>
  <si>
    <t>Тариф на 1м2/мес. в руб. без КРСОИ</t>
  </si>
  <si>
    <t>3  раза в год-вентканалы в МКД с газовыми приборами, раз в год-в МКД с электроплитами</t>
  </si>
  <si>
    <t>Информация об исключении из платы за содержание жилого помещения стоимости услуг по сбору, вывозу, утилизации ТКО</t>
  </si>
  <si>
    <t>многоквартирный дом</t>
  </si>
  <si>
    <t>Структура платы за содержание жилого помещения</t>
  </si>
  <si>
    <t>Размер платы за содержание жилогопомещения до исключения стоимости услуг по сбору, вывозу, утилизации ТКО (руб/м2)</t>
  </si>
  <si>
    <t>Размер платы за содержание жилогопомещения после исключения стоимости услуг по сбору, вывозу, утилизации ТКО (руб/м2)</t>
  </si>
  <si>
    <t>Осмотр мест общего пользования</t>
  </si>
  <si>
    <t>Аварийное обслуживание, непредвиденные работы</t>
  </si>
  <si>
    <t>Дежурство слесарей, электриков</t>
  </si>
  <si>
    <t xml:space="preserve">Уборка лестничных площадок и маршей </t>
  </si>
  <si>
    <t>Сбор, вывоз и утилизация ТКО</t>
  </si>
  <si>
    <t>Вывоз древесных отходов</t>
  </si>
  <si>
    <t xml:space="preserve">Стоимость утилизации (захоронения) древесных отходов </t>
  </si>
  <si>
    <t>Всего</t>
  </si>
  <si>
    <t>Величина стоимости услуг по сбору, вывозу, утилизации ТКО, которая исключена из платы за содержание жилого помешения</t>
  </si>
  <si>
    <t>ул. Новаторов д. 27</t>
  </si>
  <si>
    <t>Заместитель директора</t>
  </si>
  <si>
    <t>Сучкова Н.С.</t>
  </si>
  <si>
    <t>Уборка контейнерной площадки, подъездных путей и прилегающей территории</t>
  </si>
  <si>
    <t>Содержание и оборудование контейнерной площадки, подъездных путей и прилегающей территории</t>
  </si>
  <si>
    <t xml:space="preserve">Подметание прилегающей территории, содержание и уборка контейнерных площадок </t>
  </si>
  <si>
    <t>Тариф с КРСОИ</t>
  </si>
  <si>
    <t>с 4%</t>
  </si>
  <si>
    <t>Коммунальные ресурсы потребляемые в целях содержания общего имущества в многоквартирном доме (КРСОИ) с 01.07.2024</t>
  </si>
  <si>
    <t>ПРОЕКТ</t>
  </si>
  <si>
    <t>Расчет платы за услуги (работы)  по содержанию,управлению и текущему ремонту  общего имущества многоквартирного дома на 2025г. (Перечень и стоимость работ по содержанию, управлению и текущему ремонту общего имущества МКД)</t>
  </si>
  <si>
    <t xml:space="preserve">Предлагаемый управляющей организацией ООО КА "Ирбис" Перечень работ и услуг, а также расчет платы на содержание, текущий ремонт, управление многоквартирным домом составлен на основании Постановления Админстрации г.Рязани от 26.01.2024г. № 786 и может быть применен с 01.02.2025г. на основании п.4.2 Договора управления МКД от 01.01.2011г.     
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</si>
</sst>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14">
    <font>
      <sz val="11"/>
      <color theme="1"/>
      <name val="Calibri"/>
      <family val="2"/>
      <scheme val="minor"/>
    </font>
    <font>
      <b/>
      <sz val="12"/>
      <name val="Cambria"/>
      <family val="1"/>
      <charset val="204"/>
    </font>
    <font>
      <sz val="12"/>
      <name val="Cambria"/>
      <family val="1"/>
      <charset val="204"/>
    </font>
    <font>
      <sz val="13"/>
      <name val="Times New Roman"/>
      <family val="1"/>
      <charset val="204"/>
    </font>
    <font>
      <b/>
      <sz val="12"/>
      <name val="Cambria"/>
      <family val="1"/>
      <charset val="204"/>
    </font>
    <font>
      <sz val="12"/>
      <name val="Times New Roman"/>
      <family val="1"/>
      <charset val="204"/>
    </font>
    <font>
      <sz val="12"/>
      <name val="Cambria"/>
      <family val="1"/>
      <charset val="204"/>
      <scheme val="major"/>
    </font>
    <font>
      <b/>
      <sz val="12"/>
      <name val="Cambria"/>
      <family val="1"/>
      <charset val="204"/>
      <scheme val="major"/>
    </font>
    <font>
      <b/>
      <sz val="12"/>
      <color theme="1"/>
      <name val="Cambria"/>
      <family val="1"/>
      <charset val="204"/>
      <scheme val="major"/>
    </font>
    <font>
      <sz val="12"/>
      <color theme="1"/>
      <name val="Cambria"/>
      <family val="1"/>
      <charset val="204"/>
      <scheme val="major"/>
    </font>
    <font>
      <b/>
      <i/>
      <sz val="12"/>
      <color rgb="FFFF0000"/>
      <name val="Cambria"/>
      <family val="1"/>
      <charset val="204"/>
      <scheme val="maj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i/>
      <sz val="12"/>
      <color theme="1"/>
      <name val="Cambria"/>
      <family val="1"/>
      <charset val="204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20">
    <xf numFmtId="0" fontId="0" fillId="0" borderId="0" xfId="0"/>
    <xf numFmtId="0" fontId="6" fillId="0" borderId="0" xfId="0" applyFont="1"/>
    <xf numFmtId="0" fontId="7" fillId="0" borderId="0" xfId="0" applyFont="1" applyFill="1" applyAlignment="1">
      <alignment horizontal="right"/>
    </xf>
    <xf numFmtId="0" fontId="6" fillId="2" borderId="0" xfId="0" applyFont="1" applyFill="1"/>
    <xf numFmtId="0" fontId="8" fillId="0" borderId="0" xfId="0" applyFont="1" applyBorder="1" applyAlignment="1">
      <alignment horizontal="center" vertical="center" wrapText="1"/>
    </xf>
    <xf numFmtId="2" fontId="8" fillId="0" borderId="0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justify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justify" wrapText="1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Border="1" applyAlignment="1">
      <alignment horizontal="left"/>
    </xf>
    <xf numFmtId="0" fontId="7" fillId="0" borderId="0" xfId="0" applyFont="1"/>
    <xf numFmtId="0" fontId="7" fillId="0" borderId="0" xfId="0" applyFont="1" applyFill="1" applyBorder="1" applyAlignment="1">
      <alignment horizontal="center"/>
    </xf>
    <xf numFmtId="0" fontId="6" fillId="0" borderId="0" xfId="0" applyFont="1" applyFill="1"/>
    <xf numFmtId="0" fontId="2" fillId="0" borderId="1" xfId="0" applyFont="1" applyBorder="1" applyAlignment="1">
      <alignment horizontal="justify" vertical="center" wrapText="1"/>
    </xf>
    <xf numFmtId="4" fontId="6" fillId="0" borderId="0" xfId="0" applyNumberFormat="1" applyFont="1"/>
    <xf numFmtId="4" fontId="8" fillId="0" borderId="0" xfId="0" applyNumberFormat="1" applyFont="1" applyBorder="1" applyAlignment="1">
      <alignment horizontal="center" vertical="center" wrapText="1"/>
    </xf>
    <xf numFmtId="4" fontId="6" fillId="0" borderId="0" xfId="0" applyNumberFormat="1" applyFont="1" applyBorder="1" applyAlignment="1">
      <alignment horizontal="center"/>
    </xf>
    <xf numFmtId="4" fontId="7" fillId="0" borderId="0" xfId="0" applyNumberFormat="1" applyFont="1" applyBorder="1" applyAlignment="1">
      <alignment horizontal="center"/>
    </xf>
    <xf numFmtId="0" fontId="10" fillId="0" borderId="0" xfId="0" applyFont="1" applyFill="1" applyBorder="1" applyAlignment="1">
      <alignment horizontal="left" vertical="center" wrapText="1"/>
    </xf>
    <xf numFmtId="0" fontId="6" fillId="0" borderId="0" xfId="0" applyFont="1" applyBorder="1"/>
    <xf numFmtId="4" fontId="10" fillId="0" borderId="1" xfId="0" applyNumberFormat="1" applyFont="1" applyFill="1" applyBorder="1" applyAlignment="1">
      <alignment horizontal="left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4" fontId="6" fillId="0" borderId="1" xfId="0" applyNumberFormat="1" applyFont="1" applyBorder="1"/>
    <xf numFmtId="4" fontId="7" fillId="0" borderId="0" xfId="0" applyNumberFormat="1" applyFont="1"/>
    <xf numFmtId="0" fontId="3" fillId="2" borderId="0" xfId="0" applyFont="1" applyFill="1" applyAlignment="1">
      <alignment horizontal="left" wrapText="1"/>
    </xf>
    <xf numFmtId="0" fontId="8" fillId="2" borderId="0" xfId="0" applyFont="1" applyFill="1"/>
    <xf numFmtId="0" fontId="7" fillId="2" borderId="0" xfId="0" applyFont="1" applyFill="1"/>
    <xf numFmtId="4" fontId="6" fillId="0" borderId="0" xfId="0" applyNumberFormat="1" applyFont="1" applyAlignment="1">
      <alignment horizontal="center" vertical="center"/>
    </xf>
    <xf numFmtId="4" fontId="6" fillId="0" borderId="1" xfId="0" applyNumberFormat="1" applyFont="1" applyBorder="1" applyAlignment="1">
      <alignment horizontal="center" vertical="center"/>
    </xf>
    <xf numFmtId="4" fontId="7" fillId="0" borderId="0" xfId="0" applyNumberFormat="1" applyFont="1" applyAlignment="1">
      <alignment horizontal="center" vertical="center"/>
    </xf>
    <xf numFmtId="4" fontId="8" fillId="0" borderId="0" xfId="0" applyNumberFormat="1" applyFont="1" applyFill="1" applyBorder="1" applyAlignment="1">
      <alignment horizontal="center" vertical="center"/>
    </xf>
    <xf numFmtId="4" fontId="8" fillId="0" borderId="0" xfId="0" applyNumberFormat="1" applyFont="1" applyFill="1" applyBorder="1"/>
    <xf numFmtId="0" fontId="8" fillId="0" borderId="0" xfId="0" applyFont="1" applyFill="1"/>
    <xf numFmtId="0" fontId="11" fillId="0" borderId="0" xfId="0" applyFont="1" applyAlignment="1">
      <alignment horizontal="center" vertical="center"/>
    </xf>
    <xf numFmtId="0" fontId="11" fillId="0" borderId="0" xfId="0" applyFont="1"/>
    <xf numFmtId="0" fontId="11" fillId="0" borderId="0" xfId="0" applyFont="1" applyAlignment="1"/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 wrapText="1"/>
    </xf>
    <xf numFmtId="2" fontId="5" fillId="0" borderId="1" xfId="0" applyNumberFormat="1" applyFont="1" applyBorder="1" applyAlignment="1">
      <alignment vertical="center" wrapText="1"/>
    </xf>
    <xf numFmtId="0" fontId="5" fillId="2" borderId="1" xfId="0" applyFont="1" applyFill="1" applyBorder="1" applyAlignment="1">
      <alignment horizontal="justify" vertical="center" wrapText="1"/>
    </xf>
    <xf numFmtId="2" fontId="2" fillId="0" borderId="1" xfId="0" applyNumberFormat="1" applyFont="1" applyBorder="1" applyAlignment="1">
      <alignment horizontal="right" vertical="center" wrapText="1"/>
    </xf>
    <xf numFmtId="0" fontId="5" fillId="0" borderId="1" xfId="0" applyFont="1" applyBorder="1" applyAlignment="1">
      <alignment horizontal="justify" wrapText="1"/>
    </xf>
    <xf numFmtId="2" fontId="11" fillId="0" borderId="0" xfId="0" applyNumberFormat="1" applyFont="1"/>
    <xf numFmtId="0" fontId="11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justify" wrapText="1"/>
    </xf>
    <xf numFmtId="2" fontId="5" fillId="0" borderId="1" xfId="0" applyNumberFormat="1" applyFont="1" applyFill="1" applyBorder="1" applyAlignment="1">
      <alignment vertical="center" wrapText="1"/>
    </xf>
    <xf numFmtId="0" fontId="11" fillId="0" borderId="1" xfId="0" applyFont="1" applyBorder="1"/>
    <xf numFmtId="2" fontId="11" fillId="0" borderId="1" xfId="0" applyNumberFormat="1" applyFont="1" applyBorder="1" applyAlignment="1"/>
    <xf numFmtId="4" fontId="6" fillId="0" borderId="1" xfId="0" applyNumberFormat="1" applyFont="1" applyBorder="1" applyAlignment="1">
      <alignment horizontal="right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2" fillId="0" borderId="0" xfId="0" applyFont="1"/>
    <xf numFmtId="0" fontId="12" fillId="0" borderId="0" xfId="0" applyFont="1" applyAlignment="1"/>
    <xf numFmtId="164" fontId="10" fillId="0" borderId="1" xfId="0" applyNumberFormat="1" applyFont="1" applyFill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/>
    </xf>
    <xf numFmtId="164" fontId="8" fillId="0" borderId="1" xfId="0" applyNumberFormat="1" applyFont="1" applyFill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/>
    </xf>
    <xf numFmtId="2" fontId="6" fillId="0" borderId="0" xfId="0" applyNumberFormat="1" applyFont="1" applyAlignment="1">
      <alignment horizontal="center" vertical="center"/>
    </xf>
    <xf numFmtId="2" fontId="7" fillId="0" borderId="0" xfId="0" applyNumberFormat="1" applyFont="1" applyAlignment="1">
      <alignment horizontal="center" vertical="center"/>
    </xf>
    <xf numFmtId="2" fontId="6" fillId="3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8" fillId="2" borderId="0" xfId="0" applyFont="1" applyFill="1" applyBorder="1" applyAlignment="1">
      <alignment horizontal="center" vertical="center" wrapText="1"/>
    </xf>
    <xf numFmtId="0" fontId="0" fillId="0" borderId="0" xfId="0" applyAlignment="1"/>
    <xf numFmtId="4" fontId="6" fillId="0" borderId="6" xfId="0" applyNumberFormat="1" applyFont="1" applyBorder="1" applyAlignment="1"/>
    <xf numFmtId="2" fontId="8" fillId="0" borderId="7" xfId="0" applyNumberFormat="1" applyFont="1" applyFill="1" applyBorder="1" applyAlignment="1">
      <alignment horizontal="center" vertical="center"/>
    </xf>
    <xf numFmtId="0" fontId="8" fillId="0" borderId="0" xfId="0" applyFont="1" applyFill="1" applyAlignment="1"/>
    <xf numFmtId="0" fontId="13" fillId="0" borderId="0" xfId="0" applyFont="1" applyBorder="1" applyAlignment="1">
      <alignment horizontal="left"/>
    </xf>
    <xf numFmtId="2" fontId="11" fillId="0" borderId="2" xfId="0" applyNumberFormat="1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justify" wrapText="1"/>
    </xf>
    <xf numFmtId="2" fontId="6" fillId="0" borderId="3" xfId="0" applyNumberFormat="1" applyFont="1" applyFill="1" applyBorder="1" applyAlignment="1">
      <alignment horizontal="center" vertical="center"/>
    </xf>
    <xf numFmtId="2" fontId="6" fillId="0" borderId="3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4" fontId="6" fillId="0" borderId="1" xfId="0" applyNumberFormat="1" applyFont="1" applyFill="1" applyBorder="1"/>
    <xf numFmtId="164" fontId="6" fillId="0" borderId="1" xfId="0" applyNumberFormat="1" applyFont="1" applyFill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right"/>
    </xf>
    <xf numFmtId="4" fontId="8" fillId="0" borderId="2" xfId="0" applyNumberFormat="1" applyFont="1" applyFill="1" applyBorder="1" applyAlignment="1">
      <alignment horizontal="right"/>
    </xf>
    <xf numFmtId="4" fontId="8" fillId="0" borderId="1" xfId="0" applyNumberFormat="1" applyFont="1" applyFill="1" applyBorder="1" applyAlignment="1">
      <alignment horizontal="center"/>
    </xf>
    <xf numFmtId="0" fontId="13" fillId="0" borderId="0" xfId="0" applyFont="1" applyFill="1" applyBorder="1" applyAlignment="1">
      <alignment horizontal="left"/>
    </xf>
    <xf numFmtId="4" fontId="6" fillId="0" borderId="0" xfId="0" applyNumberFormat="1" applyFont="1" applyFill="1" applyAlignment="1">
      <alignment horizontal="center" vertical="center"/>
    </xf>
    <xf numFmtId="4" fontId="6" fillId="0" borderId="0" xfId="0" applyNumberFormat="1" applyFont="1" applyFill="1"/>
    <xf numFmtId="2" fontId="6" fillId="0" borderId="0" xfId="0" applyNumberFormat="1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3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justify" vertical="center" wrapText="1"/>
    </xf>
    <xf numFmtId="0" fontId="7" fillId="0" borderId="4" xfId="0" applyFont="1" applyFill="1" applyBorder="1" applyAlignment="1">
      <alignment horizontal="right" vertical="center"/>
    </xf>
    <xf numFmtId="0" fontId="7" fillId="0" borderId="4" xfId="0" applyFont="1" applyFill="1" applyBorder="1" applyAlignment="1">
      <alignment horizontal="center" vertical="center"/>
    </xf>
    <xf numFmtId="4" fontId="7" fillId="0" borderId="1" xfId="0" applyNumberFormat="1" applyFont="1" applyFill="1" applyBorder="1" applyAlignment="1">
      <alignment horizontal="center" vertical="center"/>
    </xf>
    <xf numFmtId="2" fontId="7" fillId="0" borderId="1" xfId="0" applyNumberFormat="1" applyFont="1" applyFill="1" applyBorder="1" applyAlignment="1">
      <alignment horizontal="center" vertical="center"/>
    </xf>
    <xf numFmtId="0" fontId="7" fillId="0" borderId="0" xfId="0" applyFont="1" applyFill="1"/>
    <xf numFmtId="2" fontId="8" fillId="0" borderId="2" xfId="0" applyNumberFormat="1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right"/>
    </xf>
    <xf numFmtId="0" fontId="4" fillId="0" borderId="4" xfId="0" applyFont="1" applyFill="1" applyBorder="1" applyAlignment="1">
      <alignment horizontal="right"/>
    </xf>
    <xf numFmtId="0" fontId="4" fillId="0" borderId="5" xfId="0" applyFont="1" applyFill="1" applyBorder="1" applyAlignment="1">
      <alignment horizontal="right"/>
    </xf>
    <xf numFmtId="4" fontId="4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4" fontId="2" fillId="0" borderId="1" xfId="0" applyNumberFormat="1" applyFont="1" applyFill="1" applyBorder="1" applyAlignment="1">
      <alignment horizontal="center"/>
    </xf>
    <xf numFmtId="2" fontId="1" fillId="0" borderId="1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/>
    </xf>
    <xf numFmtId="0" fontId="6" fillId="0" borderId="0" xfId="0" applyFont="1" applyFill="1" applyBorder="1" applyAlignment="1"/>
    <xf numFmtId="0" fontId="6" fillId="0" borderId="0" xfId="0" applyFont="1" applyFill="1" applyBorder="1" applyAlignment="1">
      <alignment horizontal="left" vertical="center" wrapText="1"/>
    </xf>
    <xf numFmtId="0" fontId="0" fillId="0" borderId="0" xfId="0" applyFill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44"/>
  <sheetViews>
    <sheetView tabSelected="1" topLeftCell="A18" zoomScale="75" zoomScaleNormal="75" workbookViewId="0">
      <selection activeCell="A2" sqref="A2:Q41"/>
    </sheetView>
  </sheetViews>
  <sheetFormatPr defaultColWidth="8.85546875" defaultRowHeight="15.75"/>
  <cols>
    <col min="1" max="1" width="15.85546875" style="1" customWidth="1"/>
    <col min="2" max="2" width="48" style="1" customWidth="1"/>
    <col min="3" max="3" width="22.5703125" style="1" customWidth="1"/>
    <col min="4" max="4" width="14.7109375" style="1" hidden="1" customWidth="1"/>
    <col min="5" max="5" width="12.42578125" style="1" customWidth="1"/>
    <col min="6" max="6" width="23.7109375" style="22" customWidth="1"/>
    <col min="7" max="7" width="15" style="22" hidden="1" customWidth="1"/>
    <col min="8" max="8" width="24" style="24" hidden="1" customWidth="1"/>
    <col min="9" max="9" width="15.5703125" style="24" hidden="1" customWidth="1"/>
    <col min="10" max="10" width="16" style="37" hidden="1" customWidth="1"/>
    <col min="11" max="11" width="10.85546875" style="24" hidden="1" customWidth="1"/>
    <col min="12" max="12" width="11.7109375" style="24" hidden="1" customWidth="1"/>
    <col min="13" max="13" width="14.140625" style="24" hidden="1" customWidth="1"/>
    <col min="14" max="15" width="0" style="1" hidden="1" customWidth="1"/>
    <col min="16" max="16" width="17.42578125" style="68" customWidth="1"/>
    <col min="17" max="16384" width="8.85546875" style="1"/>
  </cols>
  <sheetData>
    <row r="1" spans="1:23">
      <c r="F1" s="2"/>
      <c r="G1" s="2"/>
    </row>
    <row r="2" spans="1:23">
      <c r="E2" s="71" t="s">
        <v>83</v>
      </c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</row>
    <row r="3" spans="1:23" s="3" customFormat="1" ht="18.75" customHeight="1">
      <c r="A3" s="73" t="s">
        <v>84</v>
      </c>
      <c r="B3" s="73"/>
      <c r="C3" s="73"/>
      <c r="D3" s="73"/>
      <c r="E3" s="73"/>
      <c r="F3" s="73"/>
      <c r="G3" s="73"/>
      <c r="H3" s="73"/>
      <c r="I3" s="73"/>
      <c r="J3" s="74"/>
      <c r="K3" s="74"/>
      <c r="L3" s="74"/>
      <c r="M3" s="74"/>
      <c r="N3" s="74"/>
      <c r="O3" s="74"/>
      <c r="P3" s="74"/>
    </row>
    <row r="4" spans="1:23" s="3" customFormat="1" ht="36" customHeight="1">
      <c r="A4" s="73"/>
      <c r="B4" s="73"/>
      <c r="C4" s="73"/>
      <c r="D4" s="73"/>
      <c r="E4" s="73"/>
      <c r="F4" s="73"/>
      <c r="G4" s="73"/>
      <c r="H4" s="73"/>
      <c r="I4" s="73"/>
      <c r="J4" s="74"/>
      <c r="K4" s="74"/>
      <c r="L4" s="74"/>
      <c r="M4" s="74"/>
      <c r="N4" s="74"/>
      <c r="O4" s="74"/>
      <c r="P4" s="74"/>
    </row>
    <row r="5" spans="1:23" ht="24.75" customHeight="1">
      <c r="A5" s="4"/>
      <c r="B5" s="4" t="s">
        <v>47</v>
      </c>
      <c r="C5" s="4" t="s">
        <v>0</v>
      </c>
      <c r="D5" s="5">
        <v>3813.7</v>
      </c>
      <c r="E5" s="4">
        <f>E8</f>
        <v>3813.7</v>
      </c>
      <c r="F5" s="6"/>
      <c r="G5" s="6"/>
      <c r="H5" s="25"/>
      <c r="I5" s="25"/>
      <c r="K5" s="25"/>
      <c r="L5" s="25"/>
    </row>
    <row r="6" spans="1:23" ht="20.25" customHeight="1">
      <c r="A6" s="78" t="s">
        <v>1</v>
      </c>
      <c r="B6" s="78"/>
      <c r="C6" s="78"/>
      <c r="D6" s="78"/>
      <c r="E6" s="78"/>
      <c r="F6" s="78"/>
      <c r="G6" s="78"/>
      <c r="H6" s="78"/>
      <c r="I6" s="78"/>
      <c r="K6" s="75"/>
      <c r="L6" s="75"/>
      <c r="M6" s="75"/>
    </row>
    <row r="7" spans="1:23" ht="53.45" customHeight="1">
      <c r="A7" s="7" t="s">
        <v>2</v>
      </c>
      <c r="B7" s="7" t="s">
        <v>3</v>
      </c>
      <c r="C7" s="7" t="s">
        <v>4</v>
      </c>
      <c r="D7" s="7" t="s">
        <v>5</v>
      </c>
      <c r="E7" s="7" t="s">
        <v>6</v>
      </c>
      <c r="F7" s="8" t="s">
        <v>51</v>
      </c>
      <c r="G7" s="8"/>
      <c r="H7" s="11" t="s">
        <v>8</v>
      </c>
      <c r="I7" s="11" t="s">
        <v>7</v>
      </c>
      <c r="J7" s="11" t="s">
        <v>45</v>
      </c>
      <c r="K7" s="31" t="s">
        <v>46</v>
      </c>
      <c r="L7" s="31"/>
      <c r="M7" s="30"/>
      <c r="N7" s="28"/>
      <c r="O7" s="63" t="s">
        <v>81</v>
      </c>
      <c r="P7" s="66" t="s">
        <v>45</v>
      </c>
      <c r="Q7" s="28"/>
      <c r="R7" s="29"/>
      <c r="S7" s="29"/>
      <c r="T7" s="29"/>
      <c r="U7" s="29"/>
      <c r="V7" s="29"/>
      <c r="W7" s="29"/>
    </row>
    <row r="8" spans="1:23" ht="63">
      <c r="A8" s="7">
        <v>1</v>
      </c>
      <c r="B8" s="9" t="s">
        <v>12</v>
      </c>
      <c r="C8" s="7" t="s">
        <v>13</v>
      </c>
      <c r="D8" s="10">
        <v>0.33</v>
      </c>
      <c r="E8" s="10">
        <v>3813.7</v>
      </c>
      <c r="F8" s="8" t="s">
        <v>14</v>
      </c>
      <c r="G8" s="8">
        <v>12</v>
      </c>
      <c r="H8" s="11">
        <f t="shared" ref="H8:H26" si="0">D8*E8</f>
        <v>1258.521</v>
      </c>
      <c r="I8" s="11">
        <f t="shared" ref="I8:I26" si="1">G8*H8</f>
        <v>15102.252</v>
      </c>
      <c r="J8" s="38">
        <f>I8/G8/E8</f>
        <v>0.33</v>
      </c>
      <c r="K8" s="31"/>
      <c r="L8" s="31"/>
      <c r="M8" s="32"/>
      <c r="O8" s="64">
        <f>J8*1.04</f>
        <v>0.34320000000000001</v>
      </c>
      <c r="P8" s="12">
        <f>O8*1.0296*1.092*1.072*1.09</f>
        <v>0.45087871608299529</v>
      </c>
    </row>
    <row r="9" spans="1:23" ht="63">
      <c r="A9" s="7">
        <f>A8+1</f>
        <v>2</v>
      </c>
      <c r="B9" s="9" t="s">
        <v>48</v>
      </c>
      <c r="C9" s="7" t="s">
        <v>13</v>
      </c>
      <c r="D9" s="10">
        <v>0.08</v>
      </c>
      <c r="E9" s="10">
        <v>3813.7</v>
      </c>
      <c r="F9" s="8" t="s">
        <v>14</v>
      </c>
      <c r="G9" s="8">
        <v>12</v>
      </c>
      <c r="H9" s="11">
        <f t="shared" si="0"/>
        <v>305.096</v>
      </c>
      <c r="I9" s="11">
        <f t="shared" si="1"/>
        <v>3661.152</v>
      </c>
      <c r="J9" s="38">
        <f t="shared" ref="J9:J26" si="2">I9/G9/E9</f>
        <v>0.08</v>
      </c>
      <c r="K9" s="31"/>
      <c r="L9" s="31"/>
      <c r="M9" s="32"/>
      <c r="O9" s="64">
        <f t="shared" ref="O9:O26" si="3">J9*1.04</f>
        <v>8.320000000000001E-2</v>
      </c>
      <c r="P9" s="12">
        <f t="shared" ref="P9:P22" si="4">O9*1.0296*1.092*1.072*1.09</f>
        <v>0.10930393117163524</v>
      </c>
    </row>
    <row r="10" spans="1:23" ht="63">
      <c r="A10" s="7">
        <f t="shared" ref="A10:A26" si="5">A9+1</f>
        <v>3</v>
      </c>
      <c r="B10" s="9" t="s">
        <v>16</v>
      </c>
      <c r="C10" s="7" t="s">
        <v>15</v>
      </c>
      <c r="D10" s="10">
        <v>0.16</v>
      </c>
      <c r="E10" s="10">
        <v>3813.7</v>
      </c>
      <c r="F10" s="8" t="s">
        <v>14</v>
      </c>
      <c r="G10" s="8">
        <v>12</v>
      </c>
      <c r="H10" s="11">
        <f t="shared" si="0"/>
        <v>610.19200000000001</v>
      </c>
      <c r="I10" s="11">
        <f t="shared" si="1"/>
        <v>7322.3040000000001</v>
      </c>
      <c r="J10" s="38">
        <f t="shared" si="2"/>
        <v>0.16</v>
      </c>
      <c r="K10" s="31"/>
      <c r="L10" s="31"/>
      <c r="M10" s="32"/>
      <c r="O10" s="64">
        <f t="shared" si="3"/>
        <v>0.16640000000000002</v>
      </c>
      <c r="P10" s="12">
        <f t="shared" si="4"/>
        <v>0.21860786234327048</v>
      </c>
    </row>
    <row r="11" spans="1:23" ht="30" customHeight="1">
      <c r="A11" s="7">
        <f t="shared" si="5"/>
        <v>4</v>
      </c>
      <c r="B11" s="9" t="s">
        <v>17</v>
      </c>
      <c r="C11" s="7" t="s">
        <v>18</v>
      </c>
      <c r="D11" s="10">
        <v>7.0000000000000007E-2</v>
      </c>
      <c r="E11" s="10">
        <v>3813.7</v>
      </c>
      <c r="F11" s="8" t="s">
        <v>14</v>
      </c>
      <c r="G11" s="8">
        <v>12</v>
      </c>
      <c r="H11" s="11">
        <f t="shared" si="0"/>
        <v>266.959</v>
      </c>
      <c r="I11" s="11">
        <f t="shared" si="1"/>
        <v>3203.5079999999998</v>
      </c>
      <c r="J11" s="38">
        <f t="shared" si="2"/>
        <v>7.0000000000000007E-2</v>
      </c>
      <c r="K11" s="31"/>
      <c r="L11" s="31"/>
      <c r="M11" s="32"/>
      <c r="O11" s="64">
        <f t="shared" si="3"/>
        <v>7.2800000000000004E-2</v>
      </c>
      <c r="P11" s="12">
        <f t="shared" si="4"/>
        <v>9.564093977518083E-2</v>
      </c>
    </row>
    <row r="12" spans="1:23" ht="78.75">
      <c r="A12" s="7">
        <f t="shared" si="5"/>
        <v>5</v>
      </c>
      <c r="B12" s="9" t="s">
        <v>19</v>
      </c>
      <c r="C12" s="7" t="s">
        <v>20</v>
      </c>
      <c r="D12" s="10">
        <v>0.04</v>
      </c>
      <c r="E12" s="10">
        <v>3813.7</v>
      </c>
      <c r="F12" s="8" t="s">
        <v>14</v>
      </c>
      <c r="G12" s="8">
        <v>12</v>
      </c>
      <c r="H12" s="11">
        <f t="shared" si="0"/>
        <v>152.548</v>
      </c>
      <c r="I12" s="11">
        <f t="shared" si="1"/>
        <v>1830.576</v>
      </c>
      <c r="J12" s="38">
        <f t="shared" si="2"/>
        <v>0.04</v>
      </c>
      <c r="K12" s="31"/>
      <c r="L12" s="31"/>
      <c r="M12" s="32"/>
      <c r="O12" s="64">
        <f t="shared" si="3"/>
        <v>4.1600000000000005E-2</v>
      </c>
      <c r="P12" s="12">
        <f t="shared" si="4"/>
        <v>5.465196558581762E-2</v>
      </c>
    </row>
    <row r="13" spans="1:23" ht="63">
      <c r="A13" s="7">
        <f t="shared" si="5"/>
        <v>6</v>
      </c>
      <c r="B13" s="9" t="s">
        <v>22</v>
      </c>
      <c r="C13" s="7" t="s">
        <v>23</v>
      </c>
      <c r="D13" s="10">
        <v>0.2</v>
      </c>
      <c r="E13" s="10">
        <v>3813.7</v>
      </c>
      <c r="F13" s="8" t="s">
        <v>14</v>
      </c>
      <c r="G13" s="8">
        <v>12</v>
      </c>
      <c r="H13" s="11">
        <f t="shared" si="0"/>
        <v>762.74</v>
      </c>
      <c r="I13" s="11">
        <f t="shared" si="1"/>
        <v>9152.880000000001</v>
      </c>
      <c r="J13" s="38">
        <f t="shared" si="2"/>
        <v>0.20000000000000004</v>
      </c>
      <c r="K13" s="31"/>
      <c r="L13" s="31"/>
      <c r="M13" s="32"/>
      <c r="O13" s="64">
        <f t="shared" si="3"/>
        <v>0.20800000000000005</v>
      </c>
      <c r="P13" s="12">
        <f t="shared" si="4"/>
        <v>0.27325982792908815</v>
      </c>
    </row>
    <row r="14" spans="1:23" ht="63">
      <c r="A14" s="7">
        <f t="shared" si="5"/>
        <v>7</v>
      </c>
      <c r="B14" s="9" t="s">
        <v>50</v>
      </c>
      <c r="C14" s="7" t="s">
        <v>25</v>
      </c>
      <c r="D14" s="10">
        <v>0.18000000000000002</v>
      </c>
      <c r="E14" s="10">
        <v>3813.7</v>
      </c>
      <c r="F14" s="8" t="s">
        <v>14</v>
      </c>
      <c r="G14" s="8">
        <v>12</v>
      </c>
      <c r="H14" s="11">
        <f t="shared" si="0"/>
        <v>686.46600000000001</v>
      </c>
      <c r="I14" s="11">
        <f t="shared" si="1"/>
        <v>8237.5920000000006</v>
      </c>
      <c r="J14" s="38">
        <f t="shared" si="2"/>
        <v>0.18000000000000002</v>
      </c>
      <c r="K14" s="31"/>
      <c r="L14" s="31"/>
      <c r="M14" s="32"/>
      <c r="O14" s="64">
        <f t="shared" si="3"/>
        <v>0.18720000000000003</v>
      </c>
      <c r="P14" s="12">
        <f t="shared" si="4"/>
        <v>0.2459338451361793</v>
      </c>
    </row>
    <row r="15" spans="1:23" ht="63">
      <c r="A15" s="7">
        <f t="shared" si="5"/>
        <v>8</v>
      </c>
      <c r="B15" s="23" t="s">
        <v>44</v>
      </c>
      <c r="C15" s="7" t="s">
        <v>25</v>
      </c>
      <c r="D15" s="10">
        <v>0.19</v>
      </c>
      <c r="E15" s="10">
        <v>3813.7</v>
      </c>
      <c r="F15" s="8" t="s">
        <v>14</v>
      </c>
      <c r="G15" s="8">
        <v>12</v>
      </c>
      <c r="H15" s="11">
        <f t="shared" si="0"/>
        <v>724.60299999999995</v>
      </c>
      <c r="I15" s="11">
        <f t="shared" si="1"/>
        <v>8695.235999999999</v>
      </c>
      <c r="J15" s="38">
        <f t="shared" si="2"/>
        <v>0.19</v>
      </c>
      <c r="K15" s="31"/>
      <c r="L15" s="31"/>
      <c r="M15" s="32"/>
      <c r="O15" s="64">
        <f t="shared" si="3"/>
        <v>0.1976</v>
      </c>
      <c r="P15" s="12">
        <f t="shared" si="4"/>
        <v>0.25959683653263366</v>
      </c>
    </row>
    <row r="16" spans="1:23" ht="33" customHeight="1">
      <c r="A16" s="7">
        <f t="shared" si="5"/>
        <v>9</v>
      </c>
      <c r="B16" s="9" t="s">
        <v>49</v>
      </c>
      <c r="C16" s="7" t="s">
        <v>13</v>
      </c>
      <c r="D16" s="10">
        <v>0.52</v>
      </c>
      <c r="E16" s="10">
        <v>3813.7</v>
      </c>
      <c r="F16" s="13" t="s">
        <v>52</v>
      </c>
      <c r="G16" s="8">
        <v>12</v>
      </c>
      <c r="H16" s="11">
        <f t="shared" si="0"/>
        <v>1983.124</v>
      </c>
      <c r="I16" s="11">
        <f t="shared" si="1"/>
        <v>23797.488000000001</v>
      </c>
      <c r="J16" s="38">
        <f t="shared" si="2"/>
        <v>0.52</v>
      </c>
      <c r="K16" s="31"/>
      <c r="L16" s="31"/>
      <c r="M16" s="32"/>
      <c r="O16" s="64">
        <f t="shared" si="3"/>
        <v>0.54080000000000006</v>
      </c>
      <c r="P16" s="12">
        <f t="shared" si="4"/>
        <v>0.71047555261562911</v>
      </c>
    </row>
    <row r="17" spans="1:17" ht="33" customHeight="1">
      <c r="A17" s="7">
        <f t="shared" si="5"/>
        <v>10</v>
      </c>
      <c r="B17" s="9" t="s">
        <v>26</v>
      </c>
      <c r="C17" s="7" t="s">
        <v>13</v>
      </c>
      <c r="D17" s="10">
        <v>0.44</v>
      </c>
      <c r="E17" s="10">
        <v>3813.7</v>
      </c>
      <c r="F17" s="13" t="s">
        <v>52</v>
      </c>
      <c r="G17" s="8">
        <v>12</v>
      </c>
      <c r="H17" s="11">
        <f t="shared" si="0"/>
        <v>1678.028</v>
      </c>
      <c r="I17" s="11">
        <f t="shared" si="1"/>
        <v>20136.335999999999</v>
      </c>
      <c r="J17" s="38">
        <f t="shared" si="2"/>
        <v>0.44</v>
      </c>
      <c r="K17" s="31"/>
      <c r="L17" s="31"/>
      <c r="M17" s="32"/>
      <c r="O17" s="64">
        <f t="shared" si="3"/>
        <v>0.45760000000000001</v>
      </c>
      <c r="P17" s="12">
        <f t="shared" si="4"/>
        <v>0.60117162144399383</v>
      </c>
    </row>
    <row r="18" spans="1:17" ht="41.25" customHeight="1">
      <c r="A18" s="7">
        <f t="shared" si="5"/>
        <v>11</v>
      </c>
      <c r="B18" s="9" t="s">
        <v>27</v>
      </c>
      <c r="C18" s="7" t="s">
        <v>25</v>
      </c>
      <c r="D18" s="10">
        <v>0.05</v>
      </c>
      <c r="E18" s="10">
        <v>3813.7</v>
      </c>
      <c r="F18" s="8" t="s">
        <v>28</v>
      </c>
      <c r="G18" s="8">
        <v>12</v>
      </c>
      <c r="H18" s="11">
        <f t="shared" si="0"/>
        <v>190.685</v>
      </c>
      <c r="I18" s="11">
        <f t="shared" si="1"/>
        <v>2288.2200000000003</v>
      </c>
      <c r="J18" s="38">
        <f t="shared" si="2"/>
        <v>5.000000000000001E-2</v>
      </c>
      <c r="K18" s="31"/>
      <c r="L18" s="31"/>
      <c r="M18" s="32"/>
      <c r="O18" s="64">
        <f t="shared" si="3"/>
        <v>5.2000000000000011E-2</v>
      </c>
      <c r="P18" s="12">
        <f t="shared" si="4"/>
        <v>6.8314956982272038E-2</v>
      </c>
    </row>
    <row r="19" spans="1:17" ht="81.599999999999994" customHeight="1">
      <c r="A19" s="7">
        <f t="shared" si="5"/>
        <v>12</v>
      </c>
      <c r="B19" s="9" t="s">
        <v>29</v>
      </c>
      <c r="C19" s="7" t="s">
        <v>25</v>
      </c>
      <c r="D19" s="10">
        <v>0.08</v>
      </c>
      <c r="E19" s="10">
        <v>3813.7</v>
      </c>
      <c r="F19" s="8" t="s">
        <v>59</v>
      </c>
      <c r="G19" s="8">
        <v>12</v>
      </c>
      <c r="H19" s="11">
        <f t="shared" si="0"/>
        <v>305.096</v>
      </c>
      <c r="I19" s="11">
        <f t="shared" si="1"/>
        <v>3661.152</v>
      </c>
      <c r="J19" s="38">
        <f t="shared" si="2"/>
        <v>0.08</v>
      </c>
      <c r="K19" s="31"/>
      <c r="L19" s="31"/>
      <c r="M19" s="32"/>
      <c r="O19" s="64">
        <f t="shared" si="3"/>
        <v>8.320000000000001E-2</v>
      </c>
      <c r="P19" s="12">
        <f t="shared" si="4"/>
        <v>0.10930393117163524</v>
      </c>
    </row>
    <row r="20" spans="1:17" ht="16.5">
      <c r="A20" s="7">
        <f t="shared" si="5"/>
        <v>13</v>
      </c>
      <c r="B20" s="34" t="s">
        <v>53</v>
      </c>
      <c r="C20" s="7" t="s">
        <v>30</v>
      </c>
      <c r="D20" s="10">
        <v>0.26</v>
      </c>
      <c r="E20" s="10">
        <v>3813.7</v>
      </c>
      <c r="F20" s="8" t="s">
        <v>21</v>
      </c>
      <c r="G20" s="8">
        <v>12</v>
      </c>
      <c r="H20" s="11">
        <f t="shared" si="0"/>
        <v>991.56200000000001</v>
      </c>
      <c r="I20" s="11">
        <f t="shared" si="1"/>
        <v>11898.744000000001</v>
      </c>
      <c r="J20" s="38">
        <f t="shared" si="2"/>
        <v>0.26</v>
      </c>
      <c r="K20" s="31"/>
      <c r="L20" s="31"/>
      <c r="M20" s="32"/>
      <c r="O20" s="64">
        <f t="shared" si="3"/>
        <v>0.27040000000000003</v>
      </c>
      <c r="P20" s="12">
        <f t="shared" si="4"/>
        <v>0.35523777630781456</v>
      </c>
    </row>
    <row r="21" spans="1:17" ht="31.5">
      <c r="A21" s="7">
        <f t="shared" si="5"/>
        <v>14</v>
      </c>
      <c r="B21" s="9" t="s">
        <v>55</v>
      </c>
      <c r="C21" s="7" t="s">
        <v>31</v>
      </c>
      <c r="D21" s="10">
        <v>1.99</v>
      </c>
      <c r="E21" s="10">
        <v>3813.7</v>
      </c>
      <c r="F21" s="13" t="s">
        <v>52</v>
      </c>
      <c r="G21" s="8">
        <v>12</v>
      </c>
      <c r="H21" s="11">
        <f t="shared" si="0"/>
        <v>7589.2629999999999</v>
      </c>
      <c r="I21" s="11">
        <f t="shared" si="1"/>
        <v>91071.156000000003</v>
      </c>
      <c r="J21" s="38">
        <f t="shared" si="2"/>
        <v>1.99</v>
      </c>
      <c r="K21" s="31">
        <v>603</v>
      </c>
      <c r="L21" s="31">
        <f>(5620.73+800+42.41)*12</f>
        <v>77557.679999999993</v>
      </c>
      <c r="M21" s="32">
        <f>L21*0.06+L21</f>
        <v>82211.140799999994</v>
      </c>
      <c r="O21" s="64">
        <f t="shared" si="3"/>
        <v>2.0695999999999999</v>
      </c>
      <c r="P21" s="12">
        <f t="shared" si="4"/>
        <v>2.7189352878944262</v>
      </c>
    </row>
    <row r="22" spans="1:17" ht="47.25">
      <c r="A22" s="7">
        <f t="shared" si="5"/>
        <v>15</v>
      </c>
      <c r="B22" s="23" t="s">
        <v>79</v>
      </c>
      <c r="C22" s="7" t="s">
        <v>32</v>
      </c>
      <c r="D22" s="10">
        <v>3.5</v>
      </c>
      <c r="E22" s="10">
        <v>3813.7</v>
      </c>
      <c r="F22" s="8" t="s">
        <v>33</v>
      </c>
      <c r="G22" s="8">
        <v>12</v>
      </c>
      <c r="H22" s="11">
        <f t="shared" si="0"/>
        <v>13347.949999999999</v>
      </c>
      <c r="I22" s="11">
        <f t="shared" si="1"/>
        <v>160175.4</v>
      </c>
      <c r="J22" s="38">
        <f t="shared" si="2"/>
        <v>3.5</v>
      </c>
      <c r="K22" s="31">
        <v>852.15</v>
      </c>
      <c r="L22" s="31">
        <f>(6931.85+800+488.82)*12</f>
        <v>98648.040000000008</v>
      </c>
      <c r="M22" s="32">
        <f>L22*0.06+L22</f>
        <v>104566.92240000001</v>
      </c>
      <c r="O22" s="64">
        <f t="shared" si="3"/>
        <v>3.64</v>
      </c>
      <c r="P22" s="12">
        <f t="shared" si="4"/>
        <v>4.7820469887590411</v>
      </c>
    </row>
    <row r="23" spans="1:17" ht="31.5">
      <c r="A23" s="7">
        <f t="shared" si="5"/>
        <v>16</v>
      </c>
      <c r="B23" s="14" t="s">
        <v>34</v>
      </c>
      <c r="C23" s="15" t="s">
        <v>35</v>
      </c>
      <c r="D23" s="70">
        <f>5961.66*1.09</f>
        <v>6498.2094000000006</v>
      </c>
      <c r="E23" s="10">
        <v>2</v>
      </c>
      <c r="F23" s="13" t="s">
        <v>52</v>
      </c>
      <c r="G23" s="8">
        <v>12</v>
      </c>
      <c r="H23" s="11">
        <f t="shared" si="0"/>
        <v>12996.418800000001</v>
      </c>
      <c r="I23" s="11">
        <f t="shared" si="1"/>
        <v>155957.02560000002</v>
      </c>
      <c r="J23" s="38">
        <f>I23/G23/D5</f>
        <v>3.407824107821801</v>
      </c>
      <c r="K23" s="31"/>
      <c r="L23" s="31"/>
      <c r="M23" s="32"/>
      <c r="O23" s="64">
        <f t="shared" si="3"/>
        <v>3.544137072134673</v>
      </c>
      <c r="P23" s="12">
        <f>D23*E23/E22</f>
        <v>3.407824107821801</v>
      </c>
    </row>
    <row r="24" spans="1:17">
      <c r="A24" s="7">
        <f t="shared" si="5"/>
        <v>17</v>
      </c>
      <c r="B24" s="14" t="s">
        <v>36</v>
      </c>
      <c r="C24" s="15" t="s">
        <v>13</v>
      </c>
      <c r="D24" s="10">
        <v>1.74</v>
      </c>
      <c r="E24" s="10">
        <v>3813.7</v>
      </c>
      <c r="F24" s="13" t="s">
        <v>52</v>
      </c>
      <c r="G24" s="8">
        <v>12</v>
      </c>
      <c r="H24" s="11">
        <f t="shared" si="0"/>
        <v>6635.8379999999997</v>
      </c>
      <c r="I24" s="11">
        <f t="shared" si="1"/>
        <v>79630.055999999997</v>
      </c>
      <c r="J24" s="38">
        <f t="shared" si="2"/>
        <v>1.74</v>
      </c>
      <c r="K24" s="31"/>
      <c r="L24" s="31"/>
      <c r="M24" s="32"/>
      <c r="O24" s="64">
        <f t="shared" si="3"/>
        <v>1.8096000000000001</v>
      </c>
      <c r="P24" s="12">
        <f>O24*1.0296*1.092*1.072*1.09</f>
        <v>2.3773605029830662</v>
      </c>
    </row>
    <row r="25" spans="1:17">
      <c r="A25" s="7">
        <f t="shared" si="5"/>
        <v>18</v>
      </c>
      <c r="B25" s="14" t="s">
        <v>37</v>
      </c>
      <c r="C25" s="15" t="s">
        <v>38</v>
      </c>
      <c r="D25" s="10">
        <v>0.24000000000000002</v>
      </c>
      <c r="E25" s="10">
        <v>3813.7</v>
      </c>
      <c r="F25" s="13" t="s">
        <v>52</v>
      </c>
      <c r="G25" s="8">
        <v>12</v>
      </c>
      <c r="H25" s="11">
        <f t="shared" si="0"/>
        <v>915.28800000000001</v>
      </c>
      <c r="I25" s="11">
        <f t="shared" si="1"/>
        <v>10983.456</v>
      </c>
      <c r="J25" s="38">
        <f t="shared" si="2"/>
        <v>0.24000000000000002</v>
      </c>
      <c r="K25" s="31"/>
      <c r="L25" s="31"/>
      <c r="M25" s="32"/>
      <c r="O25" s="64">
        <f t="shared" si="3"/>
        <v>0.24960000000000002</v>
      </c>
      <c r="P25" s="12">
        <f t="shared" ref="P25:P26" si="6">O25*1.0296*1.092*1.072*1.09</f>
        <v>0.32791179351490568</v>
      </c>
    </row>
    <row r="26" spans="1:17" ht="48.75" customHeight="1">
      <c r="A26" s="82">
        <f t="shared" si="5"/>
        <v>19</v>
      </c>
      <c r="B26" s="83" t="s">
        <v>39</v>
      </c>
      <c r="C26" s="84" t="s">
        <v>13</v>
      </c>
      <c r="D26" s="85">
        <v>1.3800000000000001</v>
      </c>
      <c r="E26" s="85">
        <v>3813.7</v>
      </c>
      <c r="F26" s="81" t="s">
        <v>52</v>
      </c>
      <c r="G26" s="8">
        <v>12</v>
      </c>
      <c r="H26" s="11">
        <f t="shared" si="0"/>
        <v>5262.9059999999999</v>
      </c>
      <c r="I26" s="11">
        <f t="shared" si="1"/>
        <v>63154.872000000003</v>
      </c>
      <c r="J26" s="86">
        <f t="shared" si="2"/>
        <v>1.3800000000000001</v>
      </c>
      <c r="K26" s="11"/>
      <c r="L26" s="11"/>
      <c r="M26" s="87"/>
      <c r="N26" s="22"/>
      <c r="O26" s="88">
        <f t="shared" si="3"/>
        <v>1.4352000000000003</v>
      </c>
      <c r="P26" s="89">
        <f t="shared" si="6"/>
        <v>1.8854928127107082</v>
      </c>
      <c r="Q26" s="22"/>
    </row>
    <row r="27" spans="1:17" s="35" customFormat="1">
      <c r="A27" s="90" t="s">
        <v>54</v>
      </c>
      <c r="B27" s="90"/>
      <c r="C27" s="90"/>
      <c r="D27" s="90"/>
      <c r="E27" s="90"/>
      <c r="F27" s="90"/>
      <c r="G27" s="91">
        <f>I27/12/D5</f>
        <v>14.857824107821802</v>
      </c>
      <c r="H27" s="92">
        <f>SUM(H8:H26)</f>
        <v>56663.283800000005</v>
      </c>
      <c r="I27" s="92">
        <f>SUM(I8:I26)</f>
        <v>679959.40560000006</v>
      </c>
      <c r="J27" s="92">
        <f>SUM(J8:J26)</f>
        <v>14.857824107821802</v>
      </c>
      <c r="K27" s="92">
        <f t="shared" ref="K27:O27" si="7">SUM(K8:K26)</f>
        <v>1455.15</v>
      </c>
      <c r="L27" s="92">
        <f t="shared" si="7"/>
        <v>176205.72</v>
      </c>
      <c r="M27" s="92">
        <f t="shared" si="7"/>
        <v>186778.0632</v>
      </c>
      <c r="N27" s="92">
        <f t="shared" si="7"/>
        <v>0</v>
      </c>
      <c r="O27" s="92">
        <f t="shared" si="7"/>
        <v>15.452137072134672</v>
      </c>
      <c r="P27" s="67">
        <f>SUM(P8:P26)+0.02</f>
        <v>19.071949256762093</v>
      </c>
      <c r="Q27" s="42"/>
    </row>
    <row r="28" spans="1:17" s="3" customFormat="1">
      <c r="A28" s="93" t="s">
        <v>40</v>
      </c>
      <c r="B28" s="93"/>
      <c r="C28" s="93"/>
      <c r="D28" s="93"/>
      <c r="E28" s="93"/>
      <c r="F28" s="93"/>
      <c r="G28" s="93"/>
      <c r="H28" s="93"/>
      <c r="I28" s="93"/>
      <c r="J28" s="94"/>
      <c r="K28" s="95"/>
      <c r="L28" s="95"/>
      <c r="M28" s="95"/>
      <c r="N28" s="22"/>
      <c r="O28" s="88"/>
      <c r="P28" s="96"/>
      <c r="Q28" s="22"/>
    </row>
    <row r="29" spans="1:17" s="3" customFormat="1" ht="56.25" customHeight="1">
      <c r="A29" s="97" t="s">
        <v>2</v>
      </c>
      <c r="B29" s="97" t="s">
        <v>3</v>
      </c>
      <c r="C29" s="97" t="s">
        <v>4</v>
      </c>
      <c r="D29" s="97" t="s">
        <v>5</v>
      </c>
      <c r="E29" s="97" t="s">
        <v>6</v>
      </c>
      <c r="F29" s="8" t="s">
        <v>51</v>
      </c>
      <c r="G29" s="8"/>
      <c r="H29" s="11" t="s">
        <v>8</v>
      </c>
      <c r="I29" s="11" t="s">
        <v>7</v>
      </c>
      <c r="J29" s="11" t="s">
        <v>45</v>
      </c>
      <c r="K29" s="11"/>
      <c r="L29" s="11"/>
      <c r="M29" s="87"/>
      <c r="N29" s="22"/>
      <c r="O29" s="88" t="s">
        <v>81</v>
      </c>
      <c r="P29" s="66" t="s">
        <v>45</v>
      </c>
      <c r="Q29" s="22"/>
    </row>
    <row r="30" spans="1:17" s="3" customFormat="1" ht="28.15" customHeight="1">
      <c r="A30" s="97">
        <v>1</v>
      </c>
      <c r="B30" s="98"/>
      <c r="C30" s="99"/>
      <c r="D30" s="66">
        <v>3.14</v>
      </c>
      <c r="E30" s="97">
        <v>3813.7</v>
      </c>
      <c r="F30" s="8" t="s">
        <v>41</v>
      </c>
      <c r="G30" s="8">
        <v>12</v>
      </c>
      <c r="H30" s="11"/>
      <c r="I30" s="11">
        <f>D30*E30*G30</f>
        <v>143700.21600000001</v>
      </c>
      <c r="J30" s="86">
        <f>I30/G30/E30</f>
        <v>3.1400000000000006</v>
      </c>
      <c r="K30" s="11"/>
      <c r="L30" s="11"/>
      <c r="M30" s="87"/>
      <c r="N30" s="22"/>
      <c r="O30" s="88">
        <f>J30*1.04</f>
        <v>3.2656000000000005</v>
      </c>
      <c r="P30" s="89">
        <f>(O30*1.0296*1.092*1.072+2.02)*1.09</f>
        <v>6.4919792984866831</v>
      </c>
      <c r="Q30" s="22"/>
    </row>
    <row r="31" spans="1:17" s="3" customFormat="1" ht="36.6" customHeight="1">
      <c r="A31" s="97">
        <v>2</v>
      </c>
      <c r="B31" s="100" t="s">
        <v>9</v>
      </c>
      <c r="C31" s="97" t="s">
        <v>10</v>
      </c>
      <c r="D31" s="66">
        <f>16.41*1.072*1.09</f>
        <v>19.174756800000004</v>
      </c>
      <c r="E31" s="66">
        <v>1680</v>
      </c>
      <c r="F31" s="8" t="s">
        <v>41</v>
      </c>
      <c r="G31" s="8">
        <v>1</v>
      </c>
      <c r="H31" s="11">
        <f>D31*E31</f>
        <v>32213.591424000006</v>
      </c>
      <c r="I31" s="11">
        <f>G31*H31</f>
        <v>32213.591424000006</v>
      </c>
      <c r="J31" s="86">
        <f>I31/12/E30</f>
        <v>0.70390066130005002</v>
      </c>
      <c r="K31" s="11"/>
      <c r="L31" s="11"/>
      <c r="M31" s="87"/>
      <c r="N31" s="22"/>
      <c r="O31" s="88">
        <f t="shared" ref="O31:O32" si="8">J31*1.04</f>
        <v>0.73205668775205202</v>
      </c>
      <c r="P31" s="89">
        <f>D31*E31/E30/12</f>
        <v>0.70390066130004991</v>
      </c>
      <c r="Q31" s="22"/>
    </row>
    <row r="32" spans="1:17" s="3" customFormat="1" ht="34.5" customHeight="1">
      <c r="A32" s="97">
        <f>A31+1</f>
        <v>3</v>
      </c>
      <c r="B32" s="100" t="s">
        <v>11</v>
      </c>
      <c r="C32" s="97" t="s">
        <v>10</v>
      </c>
      <c r="D32" s="66">
        <f>11.88*1.072*1.09</f>
        <v>13.881542400000003</v>
      </c>
      <c r="E32" s="66">
        <v>1680</v>
      </c>
      <c r="F32" s="8" t="s">
        <v>41</v>
      </c>
      <c r="G32" s="8">
        <v>1</v>
      </c>
      <c r="H32" s="11">
        <f>D32*E32</f>
        <v>23320.991232000004</v>
      </c>
      <c r="I32" s="11">
        <f>G32*H32</f>
        <v>23320.991232000004</v>
      </c>
      <c r="J32" s="86">
        <f>I32/12/E30</f>
        <v>0.509588047303144</v>
      </c>
      <c r="K32" s="11"/>
      <c r="L32" s="11"/>
      <c r="M32" s="87"/>
      <c r="N32" s="22"/>
      <c r="O32" s="88">
        <f t="shared" si="8"/>
        <v>0.52997156919526978</v>
      </c>
      <c r="P32" s="89">
        <f>D32*E32/E30/12</f>
        <v>0.50958804730314411</v>
      </c>
      <c r="Q32" s="22"/>
    </row>
    <row r="33" spans="1:17" s="36" customFormat="1">
      <c r="A33" s="101" t="s">
        <v>42</v>
      </c>
      <c r="B33" s="101"/>
      <c r="C33" s="101"/>
      <c r="D33" s="101"/>
      <c r="E33" s="101"/>
      <c r="F33" s="101"/>
      <c r="G33" s="102"/>
      <c r="H33" s="103">
        <f>H30</f>
        <v>0</v>
      </c>
      <c r="I33" s="103">
        <f>SUM(I30:I32)</f>
        <v>199234.79865600003</v>
      </c>
      <c r="J33" s="103">
        <f>SUM(J30:J32)</f>
        <v>4.3534887086031944</v>
      </c>
      <c r="K33" s="103">
        <f t="shared" ref="K33:O33" si="9">SUM(K30:K32)</f>
        <v>0</v>
      </c>
      <c r="L33" s="103">
        <f t="shared" si="9"/>
        <v>0</v>
      </c>
      <c r="M33" s="103">
        <f t="shared" si="9"/>
        <v>0</v>
      </c>
      <c r="N33" s="103">
        <f t="shared" si="9"/>
        <v>0</v>
      </c>
      <c r="O33" s="103">
        <f t="shared" si="9"/>
        <v>4.5276282569473221</v>
      </c>
      <c r="P33" s="104">
        <f>SUM(P30:P32)-0.01</f>
        <v>7.695468007089878</v>
      </c>
      <c r="Q33" s="105"/>
    </row>
    <row r="34" spans="1:17" s="35" customFormat="1">
      <c r="A34" s="90" t="s">
        <v>58</v>
      </c>
      <c r="B34" s="90"/>
      <c r="C34" s="90"/>
      <c r="D34" s="90"/>
      <c r="E34" s="90"/>
      <c r="F34" s="90"/>
      <c r="G34" s="106">
        <f>I34/12/E30</f>
        <v>19.211312816424996</v>
      </c>
      <c r="H34" s="107"/>
      <c r="I34" s="107">
        <f>I27+I33</f>
        <v>879194.20425600011</v>
      </c>
      <c r="J34" s="107">
        <f>J27+J33</f>
        <v>19.211312816424996</v>
      </c>
      <c r="K34" s="107">
        <f t="shared" ref="K34:P34" si="10">K27+K33</f>
        <v>1455.15</v>
      </c>
      <c r="L34" s="107">
        <f t="shared" si="10"/>
        <v>176205.72</v>
      </c>
      <c r="M34" s="107">
        <f t="shared" si="10"/>
        <v>186778.0632</v>
      </c>
      <c r="N34" s="107">
        <f t="shared" si="10"/>
        <v>0</v>
      </c>
      <c r="O34" s="107">
        <f t="shared" si="10"/>
        <v>19.979765329081992</v>
      </c>
      <c r="P34" s="67">
        <f t="shared" si="10"/>
        <v>26.767417263851971</v>
      </c>
      <c r="Q34" s="42"/>
    </row>
    <row r="35" spans="1:17" s="42" customFormat="1">
      <c r="A35" s="93" t="s">
        <v>57</v>
      </c>
      <c r="B35" s="93"/>
      <c r="C35" s="93"/>
      <c r="D35" s="93"/>
      <c r="E35" s="93"/>
      <c r="F35" s="93"/>
      <c r="G35" s="93"/>
      <c r="H35" s="93"/>
      <c r="I35" s="93"/>
      <c r="J35" s="40"/>
      <c r="K35" s="41"/>
      <c r="L35" s="41"/>
      <c r="M35" s="41"/>
      <c r="O35" s="65"/>
      <c r="P35" s="76"/>
      <c r="Q35" s="77"/>
    </row>
    <row r="36" spans="1:17" s="42" customFormat="1" ht="63">
      <c r="A36" s="108">
        <v>1</v>
      </c>
      <c r="B36" s="100" t="s">
        <v>82</v>
      </c>
      <c r="C36" s="89" t="s">
        <v>13</v>
      </c>
      <c r="D36" s="66">
        <v>2.87</v>
      </c>
      <c r="E36" s="66">
        <v>3813.7</v>
      </c>
      <c r="F36" s="13" t="s">
        <v>24</v>
      </c>
      <c r="G36" s="8">
        <v>12</v>
      </c>
      <c r="H36" s="11">
        <f>D36*E36</f>
        <v>10945.319</v>
      </c>
      <c r="I36" s="11">
        <f>G36*H36</f>
        <v>131343.82799999998</v>
      </c>
      <c r="J36" s="86">
        <f>I36/G36/E36</f>
        <v>2.8699999999999997</v>
      </c>
      <c r="K36" s="41"/>
      <c r="L36" s="41"/>
      <c r="M36" s="41"/>
      <c r="O36" s="65">
        <v>2.87</v>
      </c>
      <c r="P36" s="67">
        <v>3.56</v>
      </c>
    </row>
    <row r="37" spans="1:17" s="42" customFormat="1" ht="13.5" customHeight="1">
      <c r="A37" s="109" t="s">
        <v>80</v>
      </c>
      <c r="B37" s="110"/>
      <c r="C37" s="110"/>
      <c r="D37" s="110"/>
      <c r="E37" s="110"/>
      <c r="F37" s="111"/>
      <c r="G37" s="112">
        <f>G34+D36</f>
        <v>22.081312816424997</v>
      </c>
      <c r="H37" s="113"/>
      <c r="I37" s="114"/>
      <c r="J37" s="114">
        <f>J36+J34</f>
        <v>22.081312816424997</v>
      </c>
      <c r="K37" s="114">
        <f t="shared" ref="K37:P37" si="11">K36+K34</f>
        <v>1455.15</v>
      </c>
      <c r="L37" s="114">
        <f t="shared" si="11"/>
        <v>176205.72</v>
      </c>
      <c r="M37" s="114">
        <f t="shared" si="11"/>
        <v>186778.0632</v>
      </c>
      <c r="N37" s="114">
        <f t="shared" si="11"/>
        <v>0</v>
      </c>
      <c r="O37" s="114">
        <f t="shared" si="11"/>
        <v>22.849765329081993</v>
      </c>
      <c r="P37" s="115">
        <f t="shared" si="11"/>
        <v>30.32741726385197</v>
      </c>
    </row>
    <row r="38" spans="1:17" hidden="1">
      <c r="A38" s="116"/>
      <c r="B38" s="116"/>
      <c r="C38" s="116"/>
      <c r="D38" s="116"/>
      <c r="E38" s="116"/>
      <c r="F38" s="116"/>
      <c r="G38" s="116"/>
      <c r="H38" s="116"/>
      <c r="I38" s="116"/>
      <c r="J38" s="94"/>
      <c r="K38" s="95"/>
      <c r="L38" s="95"/>
      <c r="M38" s="95"/>
      <c r="N38" s="22"/>
      <c r="O38" s="22"/>
      <c r="P38" s="96"/>
      <c r="Q38" s="22"/>
    </row>
    <row r="39" spans="1:17" ht="19.5" customHeight="1">
      <c r="A39" s="117" t="s">
        <v>43</v>
      </c>
      <c r="B39" s="118" t="s">
        <v>85</v>
      </c>
      <c r="C39" s="118"/>
      <c r="D39" s="118"/>
      <c r="E39" s="118"/>
      <c r="F39" s="118"/>
      <c r="G39" s="118"/>
      <c r="H39" s="118"/>
      <c r="I39" s="118"/>
      <c r="J39" s="119"/>
      <c r="K39" s="119"/>
      <c r="L39" s="119"/>
      <c r="M39" s="119"/>
      <c r="N39" s="119"/>
      <c r="O39" s="119"/>
      <c r="P39" s="119"/>
      <c r="Q39" s="22"/>
    </row>
    <row r="40" spans="1:17">
      <c r="A40" s="17"/>
      <c r="B40" s="118"/>
      <c r="C40" s="118"/>
      <c r="D40" s="118"/>
      <c r="E40" s="118"/>
      <c r="F40" s="118"/>
      <c r="G40" s="118"/>
      <c r="H40" s="118"/>
      <c r="I40" s="118"/>
      <c r="J40" s="119"/>
      <c r="K40" s="119"/>
      <c r="L40" s="119"/>
      <c r="M40" s="119"/>
      <c r="N40" s="119"/>
      <c r="O40" s="119"/>
      <c r="P40" s="119"/>
      <c r="Q40" s="22"/>
    </row>
    <row r="41" spans="1:17" ht="32.25" customHeight="1">
      <c r="A41" s="17"/>
      <c r="B41" s="118"/>
      <c r="C41" s="118"/>
      <c r="D41" s="118"/>
      <c r="E41" s="118"/>
      <c r="F41" s="118"/>
      <c r="G41" s="118"/>
      <c r="H41" s="118"/>
      <c r="I41" s="118"/>
      <c r="J41" s="119"/>
      <c r="K41" s="119"/>
      <c r="L41" s="119"/>
      <c r="M41" s="119"/>
      <c r="N41" s="119"/>
      <c r="O41" s="119"/>
      <c r="P41" s="119"/>
      <c r="Q41" s="22"/>
    </row>
    <row r="42" spans="1:17">
      <c r="A42" s="16"/>
      <c r="B42" s="16"/>
      <c r="C42" s="16"/>
      <c r="D42" s="16"/>
      <c r="E42" s="16"/>
      <c r="F42" s="17"/>
      <c r="G42" s="17"/>
      <c r="H42" s="26"/>
      <c r="I42" s="26"/>
      <c r="K42" s="26"/>
      <c r="L42" s="26"/>
    </row>
    <row r="43" spans="1:17" s="20" customFormat="1">
      <c r="A43" s="18"/>
      <c r="B43" s="19"/>
      <c r="C43" s="18"/>
      <c r="D43" s="19"/>
      <c r="F43" s="21"/>
      <c r="G43" s="21"/>
      <c r="H43" s="27"/>
      <c r="I43" s="27"/>
      <c r="J43" s="39"/>
      <c r="K43" s="27"/>
      <c r="L43" s="27"/>
      <c r="M43" s="33"/>
      <c r="P43" s="69"/>
    </row>
    <row r="44" spans="1:17" s="20" customFormat="1" ht="37.9" customHeight="1">
      <c r="A44" s="18"/>
      <c r="B44" s="18"/>
      <c r="C44" s="18"/>
      <c r="D44" s="19"/>
      <c r="E44" s="18"/>
      <c r="F44" s="21"/>
      <c r="G44" s="21"/>
      <c r="H44" s="27"/>
      <c r="I44" s="27"/>
      <c r="J44" s="39"/>
      <c r="K44" s="27"/>
      <c r="L44" s="27"/>
      <c r="M44" s="33"/>
      <c r="P44" s="69"/>
    </row>
  </sheetData>
  <mergeCells count="13">
    <mergeCell ref="B39:P41"/>
    <mergeCell ref="P35:Q35"/>
    <mergeCell ref="A6:I6"/>
    <mergeCell ref="A27:F27"/>
    <mergeCell ref="A33:F33"/>
    <mergeCell ref="A34:F34"/>
    <mergeCell ref="A35:I35"/>
    <mergeCell ref="E2:Q2"/>
    <mergeCell ref="A3:P4"/>
    <mergeCell ref="A37:F37"/>
    <mergeCell ref="A38:I38"/>
    <mergeCell ref="K6:M6"/>
    <mergeCell ref="A28:I28"/>
  </mergeCells>
  <printOptions horizontalCentered="1" verticalCentered="1"/>
  <pageMargins left="0.11811023622047245" right="0.11811023622047245" top="0.43307086614173229" bottom="0.11811023622047245" header="0.31496062992125984" footer="0.31496062992125984"/>
  <pageSetup paperSize="9" scale="5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3"/>
  <sheetViews>
    <sheetView workbookViewId="0">
      <selection activeCell="B23" sqref="B23"/>
    </sheetView>
  </sheetViews>
  <sheetFormatPr defaultRowHeight="15.75"/>
  <cols>
    <col min="1" max="1" width="9.140625" style="43"/>
    <col min="2" max="2" width="81.42578125" style="44" customWidth="1"/>
    <col min="3" max="3" width="36.42578125" style="45" customWidth="1"/>
    <col min="4" max="4" width="40.7109375" style="44" customWidth="1"/>
    <col min="5" max="16384" width="9.140625" style="44"/>
  </cols>
  <sheetData>
    <row r="1" spans="1:4" s="61" customFormat="1" ht="33" customHeight="1">
      <c r="A1" s="59"/>
      <c r="B1" s="60" t="s">
        <v>60</v>
      </c>
      <c r="C1" s="60"/>
      <c r="D1" s="60"/>
    </row>
    <row r="2" spans="1:4" s="61" customFormat="1" ht="33" customHeight="1">
      <c r="A2" s="59"/>
      <c r="B2" s="61" t="s">
        <v>61</v>
      </c>
      <c r="C2" s="62" t="s">
        <v>74</v>
      </c>
    </row>
    <row r="3" spans="1:4" s="43" customFormat="1" ht="63">
      <c r="A3" s="46" t="s">
        <v>2</v>
      </c>
      <c r="B3" s="46" t="s">
        <v>62</v>
      </c>
      <c r="C3" s="46" t="s">
        <v>63</v>
      </c>
      <c r="D3" s="46" t="s">
        <v>64</v>
      </c>
    </row>
    <row r="4" spans="1:4" ht="31.5">
      <c r="A4" s="46">
        <v>1</v>
      </c>
      <c r="B4" s="47" t="s">
        <v>12</v>
      </c>
      <c r="C4" s="48">
        <v>0.32</v>
      </c>
      <c r="D4" s="48">
        <v>0.32</v>
      </c>
    </row>
    <row r="5" spans="1:4">
      <c r="A5" s="46">
        <f t="shared" ref="A5:A28" si="0">A4+1</f>
        <v>2</v>
      </c>
      <c r="B5" s="49" t="s">
        <v>48</v>
      </c>
      <c r="C5" s="48">
        <v>0.08</v>
      </c>
      <c r="D5" s="48">
        <v>0.08</v>
      </c>
    </row>
    <row r="6" spans="1:4">
      <c r="A6" s="46">
        <f t="shared" si="0"/>
        <v>3</v>
      </c>
      <c r="B6" s="47" t="s">
        <v>16</v>
      </c>
      <c r="C6" s="48">
        <v>0.15</v>
      </c>
      <c r="D6" s="48">
        <v>0.15</v>
      </c>
    </row>
    <row r="7" spans="1:4">
      <c r="A7" s="46">
        <f t="shared" si="0"/>
        <v>4</v>
      </c>
      <c r="B7" s="47" t="s">
        <v>17</v>
      </c>
      <c r="C7" s="48">
        <v>7.0000000000000007E-2</v>
      </c>
      <c r="D7" s="48">
        <v>7.0000000000000007E-2</v>
      </c>
    </row>
    <row r="8" spans="1:4">
      <c r="A8" s="46">
        <f t="shared" si="0"/>
        <v>5</v>
      </c>
      <c r="B8" s="47" t="s">
        <v>19</v>
      </c>
      <c r="C8" s="50">
        <v>0.04</v>
      </c>
      <c r="D8" s="50">
        <v>0.04</v>
      </c>
    </row>
    <row r="9" spans="1:4" ht="31.5">
      <c r="A9" s="46">
        <f t="shared" si="0"/>
        <v>6</v>
      </c>
      <c r="B9" s="47" t="s">
        <v>22</v>
      </c>
      <c r="C9" s="50">
        <v>0.19</v>
      </c>
      <c r="D9" s="50">
        <v>0.19</v>
      </c>
    </row>
    <row r="10" spans="1:4">
      <c r="A10" s="46">
        <f t="shared" si="0"/>
        <v>7</v>
      </c>
      <c r="B10" s="47" t="s">
        <v>65</v>
      </c>
      <c r="C10" s="50">
        <v>0.17</v>
      </c>
      <c r="D10" s="50">
        <v>0.17</v>
      </c>
    </row>
    <row r="11" spans="1:4">
      <c r="A11" s="46">
        <f t="shared" si="0"/>
        <v>8</v>
      </c>
      <c r="B11" s="47" t="s">
        <v>44</v>
      </c>
      <c r="C11" s="50">
        <v>0.18</v>
      </c>
      <c r="D11" s="50">
        <v>0.18</v>
      </c>
    </row>
    <row r="12" spans="1:4">
      <c r="A12" s="46">
        <f t="shared" si="0"/>
        <v>9</v>
      </c>
      <c r="B12" s="47" t="s">
        <v>66</v>
      </c>
      <c r="C12" s="50">
        <v>0.49999999999999994</v>
      </c>
      <c r="D12" s="50">
        <v>0.49999999999999994</v>
      </c>
    </row>
    <row r="13" spans="1:4">
      <c r="A13" s="46">
        <f t="shared" si="0"/>
        <v>10</v>
      </c>
      <c r="B13" s="47" t="s">
        <v>67</v>
      </c>
      <c r="C13" s="50">
        <v>0.42</v>
      </c>
      <c r="D13" s="50">
        <v>0.42</v>
      </c>
    </row>
    <row r="14" spans="1:4">
      <c r="A14" s="46">
        <f t="shared" si="0"/>
        <v>11</v>
      </c>
      <c r="B14" s="47" t="s">
        <v>27</v>
      </c>
      <c r="C14" s="50">
        <v>5.000000000000001E-2</v>
      </c>
      <c r="D14" s="50">
        <v>5.000000000000001E-2</v>
      </c>
    </row>
    <row r="15" spans="1:4">
      <c r="A15" s="46">
        <f t="shared" si="0"/>
        <v>12</v>
      </c>
      <c r="B15" s="47" t="s">
        <v>29</v>
      </c>
      <c r="C15" s="50">
        <v>0.08</v>
      </c>
      <c r="D15" s="50">
        <v>0.08</v>
      </c>
    </row>
    <row r="16" spans="1:4">
      <c r="A16" s="46">
        <f t="shared" si="0"/>
        <v>13</v>
      </c>
      <c r="B16" s="47" t="s">
        <v>53</v>
      </c>
      <c r="C16" s="50">
        <v>0.24999999999999997</v>
      </c>
      <c r="D16" s="50">
        <v>0.24999999999999997</v>
      </c>
    </row>
    <row r="17" spans="1:6">
      <c r="A17" s="46">
        <f t="shared" si="0"/>
        <v>14</v>
      </c>
      <c r="B17" s="47" t="s">
        <v>68</v>
      </c>
      <c r="C17" s="50">
        <v>1.8</v>
      </c>
      <c r="D17" s="50">
        <v>1.8</v>
      </c>
    </row>
    <row r="18" spans="1:6">
      <c r="A18" s="46">
        <f t="shared" si="0"/>
        <v>15</v>
      </c>
      <c r="B18" s="47" t="s">
        <v>56</v>
      </c>
      <c r="C18" s="50">
        <v>2.2799999999999998</v>
      </c>
      <c r="D18" s="50">
        <v>2.2799999999999998</v>
      </c>
    </row>
    <row r="19" spans="1:6">
      <c r="A19" s="46">
        <f t="shared" si="0"/>
        <v>16</v>
      </c>
      <c r="B19" s="51" t="s">
        <v>69</v>
      </c>
      <c r="C19" s="48">
        <v>0.54</v>
      </c>
      <c r="D19" s="48"/>
      <c r="F19" s="52"/>
    </row>
    <row r="20" spans="1:6" ht="16.5" customHeight="1">
      <c r="A20" s="46">
        <f t="shared" si="0"/>
        <v>17</v>
      </c>
      <c r="B20" s="51" t="s">
        <v>77</v>
      </c>
      <c r="C20" s="48">
        <v>0.43</v>
      </c>
      <c r="D20" s="48">
        <v>0.43</v>
      </c>
    </row>
    <row r="21" spans="1:6" ht="31.5">
      <c r="A21" s="46">
        <f t="shared" si="0"/>
        <v>18</v>
      </c>
      <c r="B21" s="51" t="s">
        <v>78</v>
      </c>
      <c r="C21" s="48">
        <v>0.38</v>
      </c>
      <c r="D21" s="48">
        <v>0.38</v>
      </c>
    </row>
    <row r="22" spans="1:6">
      <c r="A22" s="46">
        <f t="shared" si="0"/>
        <v>19</v>
      </c>
      <c r="B22" s="51" t="s">
        <v>70</v>
      </c>
      <c r="C22" s="48">
        <v>0.27</v>
      </c>
      <c r="D22" s="48">
        <v>0.27</v>
      </c>
    </row>
    <row r="23" spans="1:6">
      <c r="A23" s="46">
        <f t="shared" si="0"/>
        <v>20</v>
      </c>
      <c r="B23" s="51" t="s">
        <v>71</v>
      </c>
      <c r="C23" s="48">
        <v>0.02</v>
      </c>
      <c r="D23" s="48">
        <v>0.02</v>
      </c>
    </row>
    <row r="24" spans="1:6">
      <c r="A24" s="46">
        <f t="shared" si="0"/>
        <v>21</v>
      </c>
      <c r="B24" s="51" t="s">
        <v>34</v>
      </c>
      <c r="C24" s="58">
        <v>3.9748013739937602</v>
      </c>
      <c r="D24" s="58">
        <v>3.9748013739937602</v>
      </c>
    </row>
    <row r="25" spans="1:6">
      <c r="A25" s="46">
        <f t="shared" si="0"/>
        <v>22</v>
      </c>
      <c r="B25" s="51" t="s">
        <v>36</v>
      </c>
      <c r="C25" s="58">
        <v>1.68</v>
      </c>
      <c r="D25" s="58">
        <v>1.68</v>
      </c>
    </row>
    <row r="26" spans="1:6">
      <c r="A26" s="46">
        <f t="shared" si="0"/>
        <v>23</v>
      </c>
      <c r="B26" s="51" t="s">
        <v>37</v>
      </c>
      <c r="C26" s="58">
        <v>0.23</v>
      </c>
      <c r="D26" s="58">
        <v>0.23</v>
      </c>
    </row>
    <row r="27" spans="1:6">
      <c r="A27" s="46">
        <f t="shared" si="0"/>
        <v>24</v>
      </c>
      <c r="B27" s="51" t="s">
        <v>39</v>
      </c>
      <c r="C27" s="58">
        <v>1.3300000000000003</v>
      </c>
      <c r="D27" s="58">
        <v>1.3300000000000003</v>
      </c>
    </row>
    <row r="28" spans="1:6">
      <c r="A28" s="46">
        <f t="shared" si="0"/>
        <v>25</v>
      </c>
      <c r="B28" s="54" t="s">
        <v>40</v>
      </c>
      <c r="C28" s="55">
        <v>4.03</v>
      </c>
      <c r="D28" s="55">
        <v>4.03</v>
      </c>
    </row>
    <row r="29" spans="1:6">
      <c r="A29" s="53"/>
      <c r="B29" s="56" t="s">
        <v>72</v>
      </c>
      <c r="C29" s="57">
        <f>SUM(C4:C28)</f>
        <v>19.464801373993758</v>
      </c>
      <c r="D29" s="57">
        <f>SUM(D4:D28)</f>
        <v>18.924801373993759</v>
      </c>
    </row>
    <row r="30" spans="1:6" ht="31.5">
      <c r="A30" s="53"/>
      <c r="B30" s="54" t="s">
        <v>73</v>
      </c>
      <c r="C30" s="79">
        <f>C29-D29</f>
        <v>0.53999999999999915</v>
      </c>
      <c r="D30" s="80"/>
    </row>
    <row r="31" spans="1:6">
      <c r="D31" s="52"/>
    </row>
    <row r="33" spans="2:3">
      <c r="B33" s="44" t="s">
        <v>75</v>
      </c>
      <c r="C33" s="45" t="s">
        <v>76</v>
      </c>
    </row>
  </sheetData>
  <mergeCells count="1">
    <mergeCell ref="C30:D30"/>
  </mergeCells>
  <pageMargins left="0.70866141732283472" right="0.70866141732283472" top="0.74803149606299213" bottom="0.74803149606299213" header="0.31496062992125984" footer="0.31496062992125984"/>
  <pageSetup paperSize="9" scale="73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2024-12-16T06:11:32Z</dcterms:modified>
</cp:coreProperties>
</file>